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1.0 Governance\NEAS BOARD\BOARD PAPERS\Board Papers 2019-2020\2020_02_06\Appendicies\"/>
    </mc:Choice>
  </mc:AlternateContent>
  <xr:revisionPtr revIDLastSave="0" documentId="8_{BD3D8B0A-3077-4D9D-9C4D-FFE15ADB78CE}" xr6:coauthVersionLast="45" xr6:coauthVersionMax="45" xr10:uidLastSave="{00000000-0000-0000-0000-000000000000}"/>
  <bookViews>
    <workbookView xWindow="29370" yWindow="495" windowWidth="28020" windowHeight="15105" xr2:uid="{1D421018-36F0-4775-B063-5CAC60DC003A}"/>
  </bookViews>
  <sheets>
    <sheet name="Sheet1" sheetId="1" r:id="rId1"/>
  </sheets>
  <definedNames>
    <definedName name="_xlnm._FilterDatabase" localSheetId="0" hidden="1">Sheet1!$B$1:$T$63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66" i="1" l="1"/>
  <c r="V65" i="1"/>
  <c r="V59" i="1" l="1"/>
  <c r="V58" i="1"/>
  <c r="V57" i="1"/>
  <c r="V56" i="1"/>
  <c r="V55" i="1"/>
  <c r="V52" i="1"/>
  <c r="V50" i="1"/>
  <c r="V49" i="1"/>
  <c r="V48" i="1"/>
  <c r="V47" i="1"/>
  <c r="V46" i="1"/>
  <c r="V44" i="1"/>
  <c r="V43" i="1"/>
  <c r="V42" i="1"/>
  <c r="V39" i="1"/>
  <c r="V38" i="1"/>
  <c r="V37" i="1"/>
  <c r="V34" i="1"/>
  <c r="V31" i="1"/>
  <c r="V30" i="1"/>
  <c r="V23" i="1"/>
  <c r="V22" i="1"/>
  <c r="V21" i="1"/>
  <c r="V17" i="1"/>
  <c r="V16" i="1"/>
  <c r="V11" i="1"/>
  <c r="V8" i="1"/>
  <c r="V7" i="1"/>
  <c r="V6" i="1"/>
  <c r="V5" i="1"/>
  <c r="J66" i="1"/>
  <c r="U11" i="1"/>
  <c r="T11" i="1"/>
  <c r="S11" i="1"/>
  <c r="J65" i="1"/>
  <c r="U58" i="1" l="1"/>
  <c r="U56" i="1"/>
  <c r="U55" i="1"/>
  <c r="U52" i="1"/>
  <c r="T52" i="1"/>
  <c r="U49" i="1"/>
  <c r="U48" i="1"/>
  <c r="T48" i="1"/>
  <c r="U46" i="1"/>
  <c r="U44" i="1"/>
  <c r="U42" i="1"/>
  <c r="T42" i="1"/>
  <c r="U39" i="1"/>
  <c r="U30" i="1"/>
  <c r="U23" i="1"/>
  <c r="T23" i="1"/>
  <c r="U21" i="1"/>
  <c r="U59" i="1"/>
  <c r="U57" i="1"/>
  <c r="U50" i="1"/>
  <c r="U47" i="1"/>
  <c r="U43" i="1"/>
  <c r="U38" i="1"/>
  <c r="U37" i="1"/>
  <c r="U34" i="1"/>
  <c r="U31" i="1"/>
  <c r="U22" i="1"/>
  <c r="U17" i="1"/>
  <c r="U16" i="1"/>
  <c r="U6" i="1"/>
  <c r="U7" i="1"/>
  <c r="U8" i="1"/>
  <c r="U5" i="1"/>
  <c r="T5" i="1"/>
  <c r="U65" i="1" l="1"/>
  <c r="T65" i="1"/>
  <c r="I65" i="1"/>
  <c r="U66" i="1" s="1"/>
  <c r="T38" i="1"/>
  <c r="T30" i="1"/>
  <c r="T59" i="1"/>
  <c r="T58" i="1"/>
  <c r="T57" i="1"/>
  <c r="T56" i="1"/>
  <c r="T55" i="1"/>
  <c r="T50" i="1"/>
  <c r="T49" i="1"/>
  <c r="T47" i="1"/>
  <c r="T46" i="1"/>
  <c r="T44" i="1"/>
  <c r="T43" i="1"/>
  <c r="T39" i="1"/>
  <c r="T37" i="1"/>
  <c r="T34" i="1"/>
  <c r="T31" i="1"/>
  <c r="T22" i="1"/>
  <c r="T21" i="1"/>
  <c r="T17" i="1"/>
  <c r="T16" i="1"/>
  <c r="T8" i="1"/>
  <c r="T7" i="1"/>
  <c r="T6" i="1"/>
  <c r="S53" i="1"/>
  <c r="S18" i="1"/>
  <c r="I63" i="1"/>
  <c r="S59" i="1"/>
  <c r="S40" i="1"/>
  <c r="S32" i="1"/>
  <c r="S31" i="1"/>
  <c r="S21" i="1"/>
  <c r="M18" i="1"/>
  <c r="M50" i="1"/>
  <c r="S50" i="1" s="1"/>
  <c r="M49" i="1"/>
  <c r="S49" i="1" s="1"/>
  <c r="M48" i="1"/>
  <c r="S48" i="1" s="1"/>
  <c r="M47" i="1"/>
  <c r="S47" i="1" s="1"/>
  <c r="M46" i="1"/>
  <c r="S46" i="1" s="1"/>
  <c r="M61" i="1"/>
  <c r="S61" i="1" s="1"/>
  <c r="M60" i="1"/>
  <c r="S60" i="1" s="1"/>
  <c r="M59" i="1"/>
  <c r="M58" i="1"/>
  <c r="S58" i="1" s="1"/>
  <c r="M57" i="1"/>
  <c r="S57" i="1" s="1"/>
  <c r="M56" i="1"/>
  <c r="S56" i="1" s="1"/>
  <c r="M55" i="1"/>
  <c r="S55" i="1" s="1"/>
  <c r="M54" i="1"/>
  <c r="S54" i="1" s="1"/>
  <c r="M53" i="1"/>
  <c r="M52" i="1"/>
  <c r="S52" i="1" s="1"/>
  <c r="M45" i="1"/>
  <c r="S45" i="1" s="1"/>
  <c r="M44" i="1"/>
  <c r="S44" i="1" s="1"/>
  <c r="M43" i="1"/>
  <c r="S43" i="1" s="1"/>
  <c r="M42" i="1"/>
  <c r="S42" i="1" s="1"/>
  <c r="M41" i="1"/>
  <c r="S41" i="1" s="1"/>
  <c r="M40" i="1"/>
  <c r="M39" i="1"/>
  <c r="S39" i="1" s="1"/>
  <c r="M38" i="1"/>
  <c r="S38" i="1" s="1"/>
  <c r="M37" i="1"/>
  <c r="S37" i="1" s="1"/>
  <c r="M36" i="1"/>
  <c r="S36" i="1" s="1"/>
  <c r="M35" i="1"/>
  <c r="S35" i="1" s="1"/>
  <c r="M34" i="1"/>
  <c r="S34" i="1" s="1"/>
  <c r="M33" i="1"/>
  <c r="S33" i="1" s="1"/>
  <c r="M32" i="1"/>
  <c r="M31" i="1"/>
  <c r="M29" i="1"/>
  <c r="S29" i="1" s="1"/>
  <c r="M28" i="1"/>
  <c r="S28" i="1" s="1"/>
  <c r="M30" i="1"/>
  <c r="S30" i="1" s="1"/>
  <c r="M23" i="1"/>
  <c r="S23" i="1" s="1"/>
  <c r="M22" i="1"/>
  <c r="S22" i="1" s="1"/>
  <c r="M21" i="1"/>
  <c r="M16" i="1"/>
  <c r="S16" i="1" s="1"/>
  <c r="M17" i="1"/>
  <c r="S17" i="1" s="1"/>
  <c r="M15" i="1"/>
  <c r="S15" i="1" s="1"/>
  <c r="M14" i="1"/>
  <c r="S14" i="1" s="1"/>
  <c r="M13" i="1"/>
  <c r="M11" i="1"/>
  <c r="M10" i="1"/>
  <c r="S10" i="1" s="1"/>
  <c r="M9" i="1"/>
  <c r="S9" i="1" s="1"/>
  <c r="M8" i="1"/>
  <c r="S8" i="1" s="1"/>
  <c r="M7" i="1"/>
  <c r="S7" i="1" s="1"/>
  <c r="M6" i="1"/>
  <c r="S6" i="1" s="1"/>
  <c r="M5" i="1"/>
  <c r="S5" i="1" s="1"/>
  <c r="M4" i="1"/>
  <c r="S4" i="1" s="1"/>
  <c r="M3" i="1"/>
  <c r="S3" i="1" s="1"/>
  <c r="M2" i="1"/>
  <c r="M63" i="1" s="1"/>
  <c r="S65" i="1" l="1"/>
  <c r="S66" i="1" s="1"/>
  <c r="T66" i="1"/>
  <c r="S2" i="1"/>
  <c r="S6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tc={D023CFA6-BA4E-447D-BEFF-4B5F2963FCB3}</author>
  </authors>
  <commentList>
    <comment ref="V52" authorId="0" shapeId="0" xr:uid="{D023CFA6-BA4E-447D-BEFF-4B5F2963FCB3}">
      <text>
        <t>[Threaded comment]
Your version of Excel allows you to read this threaded comment; however, any edits to it will get removed if the file is opened in a newer version of Excel. Learn more: https://go.microsoft.com/fwlink/?linkid=870924
Comment:
    excluded will need another formula</t>
      </text>
    </comment>
  </commentList>
</comments>
</file>

<file path=xl/sharedStrings.xml><?xml version="1.0" encoding="utf-8"?>
<sst xmlns="http://schemas.openxmlformats.org/spreadsheetml/2006/main" count="101" uniqueCount="83">
  <si>
    <t>Gross Annual Turnover from ELT activity</t>
  </si>
  <si>
    <t>Centre</t>
  </si>
  <si>
    <t>AAC Language Centre</t>
  </si>
  <si>
    <t>Academia International</t>
  </si>
  <si>
    <t>Avalon College</t>
  </si>
  <si>
    <t>Barton International College</t>
  </si>
  <si>
    <t>Bridge Business College</t>
  </si>
  <si>
    <t>Cairns College of English and Business</t>
  </si>
  <si>
    <t>Cairns Language Centre</t>
  </si>
  <si>
    <t>Citipointe Christian College</t>
  </si>
  <si>
    <t>Discover English</t>
  </si>
  <si>
    <t>ELSIS Sydney</t>
  </si>
  <si>
    <t>English Unlimited Sydney</t>
  </si>
  <si>
    <t>Indooroopilly State High School</t>
  </si>
  <si>
    <t>Explore English</t>
  </si>
  <si>
    <t>IIBIT Sydney</t>
  </si>
  <si>
    <t>ILSC Melbourne</t>
  </si>
  <si>
    <t>ELSIS Melbourne</t>
  </si>
  <si>
    <t>IH Sydney</t>
  </si>
  <si>
    <t>INUS Australia</t>
  </si>
  <si>
    <t>IIBT Perth</t>
  </si>
  <si>
    <t>ICET Davidson</t>
  </si>
  <si>
    <t>Imagine Education Australia</t>
  </si>
  <si>
    <t>Kaplan Sydney</t>
  </si>
  <si>
    <t>Kaplan Melbourne</t>
  </si>
  <si>
    <t>Kaplan Brisbane</t>
  </si>
  <si>
    <t>Kaplan Adelaide</t>
  </si>
  <si>
    <t>Kaplan Perth</t>
  </si>
  <si>
    <t>La Lingua Language School</t>
  </si>
  <si>
    <t>Langports Brisbane</t>
  </si>
  <si>
    <t>Language Studies International</t>
  </si>
  <si>
    <t>Languages Across Borders</t>
  </si>
  <si>
    <t>Melbourne Language Centre</t>
  </si>
  <si>
    <t>MIT Institute</t>
  </si>
  <si>
    <t>QIBA Sydney</t>
  </si>
  <si>
    <t>Queen Anne English College</t>
  </si>
  <si>
    <t>Sarina Russo Institute</t>
  </si>
  <si>
    <t>Scots English College</t>
  </si>
  <si>
    <t>SELC</t>
  </si>
  <si>
    <t>St Paul's School</t>
  </si>
  <si>
    <t>Sunshine Coast International College</t>
  </si>
  <si>
    <t>Sydney College of English</t>
  </si>
  <si>
    <t>Sydney English Academy</t>
  </si>
  <si>
    <t>TAFE NSW North Sydney</t>
  </si>
  <si>
    <t>TAFE QLD Brisbane</t>
  </si>
  <si>
    <t>Times Academy</t>
  </si>
  <si>
    <t>Townsville International English School</t>
  </si>
  <si>
    <t>Curtin English</t>
  </si>
  <si>
    <t>Macquarie University English Language Centre</t>
  </si>
  <si>
    <t>University of New England, English Language Centre (ELC)</t>
  </si>
  <si>
    <t>University of Newcastle Language Centre</t>
  </si>
  <si>
    <t>University of Newcastle Language Centre (Sydney)</t>
  </si>
  <si>
    <t>The University of Sydney, Centre for English Teaching</t>
  </si>
  <si>
    <t>UNSW Global</t>
  </si>
  <si>
    <t>UOW College Australia</t>
  </si>
  <si>
    <t>Western Sydney University The College</t>
  </si>
  <si>
    <t>Union Institute of Language</t>
  </si>
  <si>
    <t>ELS Universal English College</t>
  </si>
  <si>
    <t>University Preparation College</t>
  </si>
  <si>
    <t>WIN English Centre</t>
  </si>
  <si>
    <t>West Moreton International English Language Centre</t>
  </si>
  <si>
    <t>Teachers employed</t>
  </si>
  <si>
    <t>Student Weeks</t>
  </si>
  <si>
    <t>-</t>
  </si>
  <si>
    <t>NEAS Fee FY19</t>
  </si>
  <si>
    <t>TOTAL</t>
  </si>
  <si>
    <t>Scenario A: Base + Additional Centre + Turnover Levy 1c/$10</t>
  </si>
  <si>
    <t>Total Multi-Site Revenue</t>
  </si>
  <si>
    <t>Scenario B: Base + 5c per Student Week Levy</t>
  </si>
  <si>
    <t>TOTALS</t>
  </si>
  <si>
    <t>Date of Endorsement</t>
  </si>
  <si>
    <t>Years Endorsed</t>
  </si>
  <si>
    <t>Scenario C: Base + $10 per staff</t>
  </si>
  <si>
    <t>Scenario D: Base + $600 per course on CRICOS</t>
  </si>
  <si>
    <t>Endorsed Courses</t>
  </si>
  <si>
    <t>CRICOS Courses Listed</t>
  </si>
  <si>
    <t>NEAS Fee JUL 20 Base</t>
  </si>
  <si>
    <t>State</t>
  </si>
  <si>
    <t>Sector 1</t>
  </si>
  <si>
    <t>Sector 2</t>
  </si>
  <si>
    <t>Sector 3</t>
  </si>
  <si>
    <t>English Australia</t>
  </si>
  <si>
    <t>UECA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</si>
</sst>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44" fontId="1" fillId="0" borderId="0" xfId="0" applyNumberFormat="1" applyFont="1"/>
    <xf numFmtId="44" fontId="0" fillId="0" borderId="0" xfId="0" applyNumberFormat="1"/>
    <xf numFmtId="4" fontId="0" fillId="0" borderId="0" xfId="0" applyNumberFormat="1"/>
    <xf numFmtId="164" fontId="0" fillId="0" borderId="0" xfId="0" applyNumberFormat="1"/>
    <xf numFmtId="0" fontId="0" fillId="0" borderId="0" xfId="1" applyNumberFormat="1" applyFont="1"/>
    <xf numFmtId="9" fontId="0" fillId="0" borderId="0" xfId="2" applyFont="1"/>
    <xf numFmtId="14" fontId="0" fillId="0" borderId="0" xfId="0" applyNumberFormat="1"/>
    <xf numFmtId="0" fontId="0" fillId="0" borderId="0" xfId="0" applyNumberFormat="1"/>
    <xf numFmtId="44" fontId="0" fillId="0" borderId="0" xfId="1" applyFont="1"/>
    <xf numFmtId="44" fontId="0" fillId="2" borderId="0" xfId="1" applyFont="1" applyFill="1"/>
    <xf numFmtId="44" fontId="0" fillId="3" borderId="0" xfId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atrick Pheasant" id="{3800C16C-7250-4D01-99E4-94B9092A3CB4}" userId="Patrick Pheasant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V52" dT="2020-01-14T05:25:13.19" personId="{3800C16C-7250-4D01-99E4-94B9092A3CB4}" id="{D023CFA6-BA4E-447D-BEFF-4B5F2963FCB3}">
    <text>excluded will need another formula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CD73C-10C2-46B4-B04B-468DC00613BF}">
  <sheetPr filterMode="1">
    <pageSetUpPr fitToPage="1"/>
  </sheetPr>
  <dimension ref="A1:V66"/>
  <sheetViews>
    <sheetView tabSelected="1" workbookViewId="0">
      <selection activeCell="P23" sqref="P23"/>
    </sheetView>
  </sheetViews>
  <sheetFormatPr defaultRowHeight="15" x14ac:dyDescent="0.25"/>
  <cols>
    <col min="2" max="2" width="36.140625" customWidth="1"/>
    <col min="3" max="8" width="13.85546875" hidden="1" customWidth="1"/>
    <col min="9" max="10" width="27.5703125" hidden="1" customWidth="1"/>
    <col min="11" max="11" width="22.140625" style="3" hidden="1" customWidth="1"/>
    <col min="12" max="12" width="17.42578125" style="3" hidden="1" customWidth="1"/>
    <col min="13" max="13" width="22.85546875" style="3" hidden="1" customWidth="1"/>
    <col min="14" max="15" width="18.42578125" hidden="1" customWidth="1"/>
    <col min="16" max="18" width="18.7109375" customWidth="1"/>
    <col min="19" max="19" width="40.140625" customWidth="1"/>
    <col min="20" max="20" width="42.140625" customWidth="1"/>
    <col min="21" max="21" width="27.85546875" customWidth="1"/>
    <col min="22" max="22" width="21.7109375" customWidth="1"/>
  </cols>
  <sheetData>
    <row r="1" spans="1:22" x14ac:dyDescent="0.25">
      <c r="B1" s="1" t="s">
        <v>1</v>
      </c>
      <c r="C1" s="1" t="s">
        <v>77</v>
      </c>
      <c r="D1" s="1" t="s">
        <v>78</v>
      </c>
      <c r="E1" s="1" t="s">
        <v>79</v>
      </c>
      <c r="F1" s="1" t="s">
        <v>80</v>
      </c>
      <c r="G1" s="1" t="s">
        <v>81</v>
      </c>
      <c r="H1" s="1" t="s">
        <v>82</v>
      </c>
      <c r="I1" s="1" t="s">
        <v>64</v>
      </c>
      <c r="J1" s="1" t="s">
        <v>76</v>
      </c>
      <c r="K1" s="2" t="s">
        <v>0</v>
      </c>
      <c r="L1" s="2" t="s">
        <v>62</v>
      </c>
      <c r="M1" s="2" t="s">
        <v>67</v>
      </c>
      <c r="N1" s="1" t="s">
        <v>61</v>
      </c>
      <c r="O1" s="1" t="s">
        <v>70</v>
      </c>
      <c r="P1" s="1" t="s">
        <v>71</v>
      </c>
      <c r="Q1" s="1" t="s">
        <v>74</v>
      </c>
      <c r="R1" s="1" t="s">
        <v>75</v>
      </c>
      <c r="S1" s="2" t="s">
        <v>66</v>
      </c>
      <c r="T1" s="2" t="s">
        <v>68</v>
      </c>
      <c r="U1" s="1" t="s">
        <v>72</v>
      </c>
      <c r="V1" s="1" t="s">
        <v>73</v>
      </c>
    </row>
    <row r="2" spans="1:22" hidden="1" x14ac:dyDescent="0.25">
      <c r="B2" t="s">
        <v>2</v>
      </c>
      <c r="I2">
        <v>4550</v>
      </c>
      <c r="K2" s="5">
        <v>2256000</v>
      </c>
      <c r="L2" s="6"/>
      <c r="M2" s="5">
        <f t="shared" ref="M2:M10" si="0">K2</f>
        <v>2256000</v>
      </c>
      <c r="N2">
        <v>15</v>
      </c>
      <c r="S2" s="3">
        <f>M2/10000+4670</f>
        <v>4895.6000000000004</v>
      </c>
    </row>
    <row r="3" spans="1:22" hidden="1" x14ac:dyDescent="0.25">
      <c r="B3" t="s">
        <v>3</v>
      </c>
      <c r="I3">
        <v>4550</v>
      </c>
      <c r="K3" s="5">
        <v>1057097</v>
      </c>
      <c r="L3" s="6"/>
      <c r="M3" s="5">
        <f t="shared" si="0"/>
        <v>1057097</v>
      </c>
      <c r="S3" s="3">
        <f t="shared" ref="S3:S10" si="1">M3/10000+4670</f>
        <v>4775.7097000000003</v>
      </c>
    </row>
    <row r="4" spans="1:22" hidden="1" x14ac:dyDescent="0.25">
      <c r="B4" t="s">
        <v>4</v>
      </c>
      <c r="I4">
        <v>4550</v>
      </c>
      <c r="K4" s="5">
        <v>5120383</v>
      </c>
      <c r="L4" s="6"/>
      <c r="M4" s="5">
        <f t="shared" si="0"/>
        <v>5120383</v>
      </c>
      <c r="S4" s="3">
        <f t="shared" si="1"/>
        <v>5182.0383000000002</v>
      </c>
    </row>
    <row r="5" spans="1:22" x14ac:dyDescent="0.25">
      <c r="A5">
        <v>1</v>
      </c>
      <c r="B5" t="s">
        <v>5</v>
      </c>
      <c r="I5">
        <v>4550</v>
      </c>
      <c r="J5">
        <v>4670</v>
      </c>
      <c r="K5" s="5">
        <v>1598529</v>
      </c>
      <c r="L5" s="6">
        <v>6900</v>
      </c>
      <c r="M5" s="5">
        <f t="shared" si="0"/>
        <v>1598529</v>
      </c>
      <c r="N5" s="6">
        <v>10</v>
      </c>
      <c r="O5" s="8">
        <v>42816</v>
      </c>
      <c r="P5" s="9">
        <v>3</v>
      </c>
      <c r="Q5">
        <v>6</v>
      </c>
      <c r="R5" s="9">
        <v>6</v>
      </c>
      <c r="S5" s="3">
        <f t="shared" si="1"/>
        <v>4829.8528999999999</v>
      </c>
      <c r="T5" s="10">
        <f>L5*0.05+4670</f>
        <v>5015</v>
      </c>
      <c r="U5" s="10">
        <f>N5*10+4670</f>
        <v>4770</v>
      </c>
      <c r="V5" s="10">
        <f>(R5-Q5)*600+J5</f>
        <v>4670</v>
      </c>
    </row>
    <row r="6" spans="1:22" x14ac:dyDescent="0.25">
      <c r="A6">
        <v>2</v>
      </c>
      <c r="B6" t="s">
        <v>6</v>
      </c>
      <c r="I6">
        <v>4550</v>
      </c>
      <c r="J6">
        <v>4670</v>
      </c>
      <c r="K6" s="5">
        <v>249000</v>
      </c>
      <c r="L6" s="6">
        <v>1473</v>
      </c>
      <c r="M6" s="5">
        <f t="shared" si="0"/>
        <v>249000</v>
      </c>
      <c r="N6">
        <v>7</v>
      </c>
      <c r="O6" s="8">
        <v>35195</v>
      </c>
      <c r="P6" s="9">
        <v>24</v>
      </c>
      <c r="Q6">
        <v>4</v>
      </c>
      <c r="R6" s="9">
        <v>24</v>
      </c>
      <c r="S6" s="3">
        <f t="shared" si="1"/>
        <v>4694.8999999999996</v>
      </c>
      <c r="T6" s="10">
        <f t="shared" ref="T6:T8" si="2">L6*0.05+4670</f>
        <v>4743.6499999999996</v>
      </c>
      <c r="U6" s="10">
        <f t="shared" ref="U6:U8" si="3">N6*10+4670</f>
        <v>4740</v>
      </c>
      <c r="V6" s="10">
        <f t="shared" ref="V6:V8" si="4">(R6-Q6)*600+J6</f>
        <v>16670</v>
      </c>
    </row>
    <row r="7" spans="1:22" x14ac:dyDescent="0.25">
      <c r="A7">
        <v>3</v>
      </c>
      <c r="B7" t="s">
        <v>7</v>
      </c>
      <c r="I7">
        <v>4550</v>
      </c>
      <c r="J7">
        <v>4670</v>
      </c>
      <c r="K7" s="5">
        <v>3500000</v>
      </c>
      <c r="L7" s="6">
        <v>3590</v>
      </c>
      <c r="M7" s="5">
        <f t="shared" si="0"/>
        <v>3500000</v>
      </c>
      <c r="N7" s="6">
        <v>7</v>
      </c>
      <c r="O7" s="8">
        <v>41606</v>
      </c>
      <c r="P7" s="9">
        <v>7</v>
      </c>
      <c r="Q7">
        <v>5</v>
      </c>
      <c r="R7" s="9">
        <v>21</v>
      </c>
      <c r="S7" s="3">
        <f t="shared" si="1"/>
        <v>5020</v>
      </c>
      <c r="T7" s="10">
        <f t="shared" si="2"/>
        <v>4849.5</v>
      </c>
      <c r="U7" s="10">
        <f t="shared" si="3"/>
        <v>4740</v>
      </c>
      <c r="V7" s="10">
        <f t="shared" si="4"/>
        <v>14270</v>
      </c>
    </row>
    <row r="8" spans="1:22" ht="27.75" customHeight="1" x14ac:dyDescent="0.25">
      <c r="A8">
        <v>4</v>
      </c>
      <c r="B8" t="s">
        <v>8</v>
      </c>
      <c r="I8">
        <v>4550</v>
      </c>
      <c r="J8">
        <v>4670</v>
      </c>
      <c r="K8" s="5">
        <v>620000</v>
      </c>
      <c r="L8" s="6">
        <v>481</v>
      </c>
      <c r="M8" s="5">
        <f t="shared" si="0"/>
        <v>620000</v>
      </c>
      <c r="N8" s="6">
        <v>5</v>
      </c>
      <c r="O8" s="8">
        <v>34635</v>
      </c>
      <c r="P8" s="9">
        <v>26</v>
      </c>
      <c r="Q8">
        <v>8</v>
      </c>
      <c r="R8" s="9">
        <v>10</v>
      </c>
      <c r="S8" s="3">
        <f t="shared" si="1"/>
        <v>4732</v>
      </c>
      <c r="T8" s="10">
        <f t="shared" si="2"/>
        <v>4694.05</v>
      </c>
      <c r="U8" s="10">
        <f t="shared" si="3"/>
        <v>4720</v>
      </c>
      <c r="V8" s="10">
        <f t="shared" si="4"/>
        <v>5870</v>
      </c>
    </row>
    <row r="9" spans="1:22" hidden="1" x14ac:dyDescent="0.25">
      <c r="B9" t="s">
        <v>9</v>
      </c>
      <c r="I9">
        <v>4550</v>
      </c>
      <c r="K9" s="5">
        <v>1166431</v>
      </c>
      <c r="L9" s="6"/>
      <c r="M9" s="5">
        <f t="shared" si="0"/>
        <v>1166431</v>
      </c>
      <c r="Q9">
        <v>8</v>
      </c>
      <c r="S9" s="3">
        <f t="shared" si="1"/>
        <v>4786.6431000000002</v>
      </c>
    </row>
    <row r="10" spans="1:22" hidden="1" x14ac:dyDescent="0.25">
      <c r="B10" t="s">
        <v>10</v>
      </c>
      <c r="I10">
        <v>4550</v>
      </c>
      <c r="K10" s="5">
        <v>6667098</v>
      </c>
      <c r="L10" s="6"/>
      <c r="M10" s="5">
        <f t="shared" si="0"/>
        <v>6667098</v>
      </c>
      <c r="N10">
        <v>46</v>
      </c>
      <c r="Q10">
        <v>1</v>
      </c>
      <c r="S10" s="3">
        <f t="shared" si="1"/>
        <v>5336.7097999999996</v>
      </c>
    </row>
    <row r="11" spans="1:22" ht="27.75" customHeight="1" x14ac:dyDescent="0.25">
      <c r="A11">
        <v>5</v>
      </c>
      <c r="B11" t="s">
        <v>11</v>
      </c>
      <c r="I11">
        <v>8250</v>
      </c>
      <c r="J11">
        <v>8570</v>
      </c>
      <c r="K11">
        <v>5061207</v>
      </c>
      <c r="L11">
        <v>39781</v>
      </c>
      <c r="M11">
        <f>SUM(K11:K12)</f>
        <v>7123838</v>
      </c>
      <c r="N11">
        <v>36</v>
      </c>
      <c r="O11" s="8">
        <v>34303</v>
      </c>
      <c r="P11" s="9">
        <v>27</v>
      </c>
      <c r="Q11">
        <v>8</v>
      </c>
      <c r="R11" s="9">
        <v>20</v>
      </c>
      <c r="S11" s="3">
        <f>M11/10000+4670+1950*2</f>
        <v>9282.3837999999996</v>
      </c>
      <c r="T11" s="10">
        <f>L11*0.05+4670+1950*2</f>
        <v>10559.05</v>
      </c>
      <c r="U11" s="10">
        <f>N11*10+4670+1950*2</f>
        <v>8930</v>
      </c>
      <c r="V11" s="10">
        <f>(R11-Q11)*600+J11</f>
        <v>15770</v>
      </c>
    </row>
    <row r="12" spans="1:22" hidden="1" x14ac:dyDescent="0.25">
      <c r="B12" t="s">
        <v>17</v>
      </c>
      <c r="I12" t="s">
        <v>63</v>
      </c>
      <c r="K12" s="5">
        <v>2062631</v>
      </c>
      <c r="L12" s="6"/>
      <c r="M12" s="5" t="s">
        <v>63</v>
      </c>
      <c r="Q12">
        <v>8</v>
      </c>
      <c r="S12" s="3"/>
    </row>
    <row r="13" spans="1:22" hidden="1" x14ac:dyDescent="0.25">
      <c r="B13" t="s">
        <v>12</v>
      </c>
      <c r="I13" t="s">
        <v>63</v>
      </c>
      <c r="K13" s="5">
        <v>3200000</v>
      </c>
      <c r="L13" s="6"/>
      <c r="M13" s="5">
        <f>K13</f>
        <v>3200000</v>
      </c>
      <c r="Q13">
        <v>3</v>
      </c>
      <c r="S13" s="3"/>
    </row>
    <row r="14" spans="1:22" hidden="1" x14ac:dyDescent="0.25">
      <c r="B14" t="s">
        <v>13</v>
      </c>
      <c r="I14">
        <v>4550</v>
      </c>
      <c r="K14" s="5">
        <v>531504</v>
      </c>
      <c r="L14" s="6"/>
      <c r="M14" s="5">
        <f>K14</f>
        <v>531504</v>
      </c>
      <c r="N14">
        <v>4</v>
      </c>
      <c r="Q14">
        <v>9</v>
      </c>
      <c r="S14" s="3">
        <f t="shared" ref="S14:S17" si="5">M14/10000+4670</f>
        <v>4723.1504000000004</v>
      </c>
    </row>
    <row r="15" spans="1:22" hidden="1" x14ac:dyDescent="0.25">
      <c r="B15" t="s">
        <v>14</v>
      </c>
      <c r="I15">
        <v>4550</v>
      </c>
      <c r="K15" s="5">
        <v>2191196.63</v>
      </c>
      <c r="L15" s="6"/>
      <c r="M15" s="5">
        <f>K15</f>
        <v>2191196.63</v>
      </c>
      <c r="Q15">
        <v>10</v>
      </c>
      <c r="S15" s="3">
        <f t="shared" si="5"/>
        <v>4889.1196630000004</v>
      </c>
    </row>
    <row r="16" spans="1:22" x14ac:dyDescent="0.25">
      <c r="A16">
        <v>6</v>
      </c>
      <c r="B16" t="s">
        <v>21</v>
      </c>
      <c r="I16">
        <v>4550</v>
      </c>
      <c r="J16">
        <v>4670</v>
      </c>
      <c r="K16" s="5">
        <v>779200</v>
      </c>
      <c r="L16" s="6">
        <v>1472</v>
      </c>
      <c r="M16" s="5">
        <f>K16</f>
        <v>779200</v>
      </c>
      <c r="N16" s="6">
        <v>2</v>
      </c>
      <c r="O16" s="8">
        <v>35566</v>
      </c>
      <c r="P16" s="9">
        <v>23</v>
      </c>
      <c r="Q16">
        <v>1</v>
      </c>
      <c r="R16" s="9">
        <v>1</v>
      </c>
      <c r="S16" s="3">
        <f t="shared" si="5"/>
        <v>4747.92</v>
      </c>
      <c r="T16" s="10">
        <f>L16*0.05+4670</f>
        <v>4743.6000000000004</v>
      </c>
      <c r="U16" s="10">
        <f t="shared" ref="U16:U17" si="6">N16*10+4670</f>
        <v>4690</v>
      </c>
      <c r="V16" s="10">
        <f t="shared" ref="V16:V17" si="7">(R16-Q16)*600+J16</f>
        <v>4670</v>
      </c>
    </row>
    <row r="17" spans="1:22" x14ac:dyDescent="0.25">
      <c r="A17">
        <v>8</v>
      </c>
      <c r="B17" t="s">
        <v>15</v>
      </c>
      <c r="I17">
        <v>4550</v>
      </c>
      <c r="J17">
        <v>4670</v>
      </c>
      <c r="K17">
        <v>379656</v>
      </c>
      <c r="L17">
        <v>48</v>
      </c>
      <c r="M17">
        <f>SUM(K17:L17,K20)</f>
        <v>765914</v>
      </c>
      <c r="N17">
        <v>5</v>
      </c>
      <c r="O17" s="8">
        <v>38798</v>
      </c>
      <c r="P17" s="9">
        <v>14</v>
      </c>
      <c r="Q17">
        <v>3</v>
      </c>
      <c r="R17" s="9">
        <v>13</v>
      </c>
      <c r="S17" s="3">
        <f t="shared" si="5"/>
        <v>4746.5914000000002</v>
      </c>
      <c r="T17" s="10">
        <f>L17*0.05+4670</f>
        <v>4672.3999999999996</v>
      </c>
      <c r="U17" s="10">
        <f t="shared" si="6"/>
        <v>4720</v>
      </c>
      <c r="V17" s="10">
        <f t="shared" si="7"/>
        <v>10670</v>
      </c>
    </row>
    <row r="18" spans="1:22" hidden="1" x14ac:dyDescent="0.25">
      <c r="B18" s="4" t="s">
        <v>16</v>
      </c>
      <c r="C18" s="4"/>
      <c r="D18" s="4"/>
      <c r="E18" s="4"/>
      <c r="F18" s="4"/>
      <c r="G18" s="4"/>
      <c r="H18" s="4"/>
      <c r="I18" s="4">
        <v>8250</v>
      </c>
      <c r="J18" s="4"/>
      <c r="K18" s="5">
        <v>6300000</v>
      </c>
      <c r="L18" s="6"/>
      <c r="M18" s="5">
        <f>K18</f>
        <v>6300000</v>
      </c>
      <c r="Q18">
        <v>4</v>
      </c>
      <c r="S18" s="3">
        <f>M18/10000+4670+1950</f>
        <v>7250</v>
      </c>
    </row>
    <row r="19" spans="1:22" hidden="1" x14ac:dyDescent="0.25">
      <c r="B19" t="s">
        <v>18</v>
      </c>
      <c r="I19" t="s">
        <v>63</v>
      </c>
      <c r="K19" s="5">
        <v>4466168</v>
      </c>
      <c r="L19" s="6"/>
      <c r="M19" s="5" t="s">
        <v>63</v>
      </c>
      <c r="Q19">
        <v>6</v>
      </c>
      <c r="S19" s="3"/>
    </row>
    <row r="20" spans="1:22" hidden="1" x14ac:dyDescent="0.25">
      <c r="B20" t="s">
        <v>20</v>
      </c>
      <c r="I20" t="s">
        <v>63</v>
      </c>
      <c r="K20" s="5">
        <v>386210</v>
      </c>
      <c r="L20" s="6"/>
      <c r="M20" s="5" t="s">
        <v>63</v>
      </c>
      <c r="Q20">
        <v>11</v>
      </c>
      <c r="S20" s="3"/>
    </row>
    <row r="21" spans="1:22" x14ac:dyDescent="0.25">
      <c r="A21">
        <v>9</v>
      </c>
      <c r="B21" t="s">
        <v>22</v>
      </c>
      <c r="I21">
        <v>4550</v>
      </c>
      <c r="J21">
        <v>4670</v>
      </c>
      <c r="K21" s="5">
        <v>6200000</v>
      </c>
      <c r="L21" s="6">
        <v>31859</v>
      </c>
      <c r="M21" s="5">
        <f>K21</f>
        <v>6200000</v>
      </c>
      <c r="N21" s="6">
        <v>43</v>
      </c>
      <c r="O21" s="8">
        <v>39370</v>
      </c>
      <c r="P21" s="9">
        <v>13</v>
      </c>
      <c r="Q21">
        <v>8</v>
      </c>
      <c r="R21" s="9">
        <v>32</v>
      </c>
      <c r="S21" s="3">
        <f t="shared" ref="S21:S22" si="8">M21/10000+4670</f>
        <v>5290</v>
      </c>
      <c r="T21" s="10">
        <f t="shared" ref="T21:T22" si="9">L21*0.05+4670</f>
        <v>6262.95</v>
      </c>
      <c r="U21" s="10">
        <f t="shared" ref="U21" si="10">N21*10+4670</f>
        <v>5100</v>
      </c>
      <c r="V21" s="10">
        <f t="shared" ref="V21:V23" si="11">(R21-Q21)*600+J21</f>
        <v>19070</v>
      </c>
    </row>
    <row r="22" spans="1:22" x14ac:dyDescent="0.25">
      <c r="A22">
        <v>10</v>
      </c>
      <c r="B22" t="s">
        <v>19</v>
      </c>
      <c r="I22">
        <v>4550</v>
      </c>
      <c r="J22">
        <v>4670</v>
      </c>
      <c r="K22" s="5">
        <v>2770000</v>
      </c>
      <c r="L22" s="6">
        <v>11140</v>
      </c>
      <c r="M22" s="5">
        <f>K22</f>
        <v>2770000</v>
      </c>
      <c r="N22" s="6">
        <v>10</v>
      </c>
      <c r="O22" s="8">
        <v>42205</v>
      </c>
      <c r="P22" s="9">
        <v>5</v>
      </c>
      <c r="Q22">
        <v>3</v>
      </c>
      <c r="R22" s="9">
        <v>4</v>
      </c>
      <c r="S22" s="3">
        <f t="shared" si="8"/>
        <v>4947</v>
      </c>
      <c r="T22" s="10">
        <f t="shared" si="9"/>
        <v>5227</v>
      </c>
      <c r="U22" s="10">
        <f>N22*10+4670</f>
        <v>4770</v>
      </c>
      <c r="V22" s="10">
        <f t="shared" si="11"/>
        <v>5270</v>
      </c>
    </row>
    <row r="23" spans="1:22" x14ac:dyDescent="0.25">
      <c r="A23">
        <v>11</v>
      </c>
      <c r="B23" t="s">
        <v>23</v>
      </c>
      <c r="I23">
        <v>14790</v>
      </c>
      <c r="J23">
        <v>14420</v>
      </c>
      <c r="K23">
        <v>5167478</v>
      </c>
      <c r="L23">
        <v>65129</v>
      </c>
      <c r="M23">
        <f>SUM(K23:K27)</f>
        <v>14777886</v>
      </c>
      <c r="N23">
        <v>80</v>
      </c>
      <c r="O23" s="8">
        <v>33584</v>
      </c>
      <c r="P23" s="9">
        <v>29</v>
      </c>
      <c r="Q23">
        <v>9</v>
      </c>
      <c r="R23" s="9">
        <v>9</v>
      </c>
      <c r="S23" s="3">
        <f>M23/10000+4670+1950*5</f>
        <v>15897.7886</v>
      </c>
      <c r="T23" s="10">
        <f>L22*0.05+4670+1950*5</f>
        <v>14977</v>
      </c>
      <c r="U23" s="10">
        <f>N23*10+4670+1950*5</f>
        <v>15220</v>
      </c>
      <c r="V23" s="10">
        <f t="shared" si="11"/>
        <v>14420</v>
      </c>
    </row>
    <row r="24" spans="1:22" hidden="1" x14ac:dyDescent="0.25">
      <c r="B24" t="s">
        <v>24</v>
      </c>
      <c r="I24" t="s">
        <v>63</v>
      </c>
      <c r="K24" s="5">
        <v>3963106</v>
      </c>
      <c r="L24" s="6"/>
      <c r="M24" s="5" t="s">
        <v>63</v>
      </c>
      <c r="O24" s="8"/>
      <c r="P24" s="8"/>
      <c r="Q24">
        <v>7</v>
      </c>
      <c r="R24" s="8"/>
      <c r="S24" s="3"/>
    </row>
    <row r="25" spans="1:22" hidden="1" x14ac:dyDescent="0.25">
      <c r="B25" t="s">
        <v>25</v>
      </c>
      <c r="I25" t="s">
        <v>63</v>
      </c>
      <c r="K25" s="5">
        <v>1784808</v>
      </c>
      <c r="L25" s="6"/>
      <c r="M25" s="5" t="s">
        <v>63</v>
      </c>
      <c r="O25" s="8"/>
      <c r="P25" s="8"/>
      <c r="Q25">
        <v>1</v>
      </c>
      <c r="R25" s="8"/>
      <c r="S25" s="3"/>
    </row>
    <row r="26" spans="1:22" hidden="1" x14ac:dyDescent="0.25">
      <c r="B26" t="s">
        <v>26</v>
      </c>
      <c r="I26" t="s">
        <v>63</v>
      </c>
      <c r="K26" s="5">
        <v>1313607</v>
      </c>
      <c r="L26" s="6"/>
      <c r="M26" s="5" t="s">
        <v>63</v>
      </c>
      <c r="O26" s="8"/>
      <c r="P26" s="8"/>
      <c r="Q26">
        <v>5</v>
      </c>
      <c r="R26" s="8"/>
      <c r="S26" s="3"/>
    </row>
    <row r="27" spans="1:22" hidden="1" x14ac:dyDescent="0.25">
      <c r="B27" t="s">
        <v>27</v>
      </c>
      <c r="I27" t="s">
        <v>63</v>
      </c>
      <c r="K27" s="5">
        <v>2548887</v>
      </c>
      <c r="L27" s="6"/>
      <c r="M27" s="5" t="s">
        <v>63</v>
      </c>
      <c r="O27" s="8"/>
      <c r="P27" s="8"/>
      <c r="Q27">
        <v>10</v>
      </c>
      <c r="R27" s="8"/>
      <c r="S27" s="3"/>
    </row>
    <row r="28" spans="1:22" hidden="1" x14ac:dyDescent="0.25">
      <c r="B28" t="s">
        <v>28</v>
      </c>
      <c r="I28">
        <v>4550</v>
      </c>
      <c r="K28" s="5">
        <v>1062650</v>
      </c>
      <c r="L28" s="6"/>
      <c r="M28" s="5">
        <f>K28</f>
        <v>1062650</v>
      </c>
      <c r="O28" s="8"/>
      <c r="P28" s="8"/>
      <c r="Q28">
        <v>1</v>
      </c>
      <c r="R28" s="8"/>
      <c r="S28" s="3">
        <f t="shared" ref="S28" si="12">M28/10000+4670</f>
        <v>4776.2650000000003</v>
      </c>
    </row>
    <row r="29" spans="1:22" hidden="1" x14ac:dyDescent="0.25">
      <c r="B29" t="s">
        <v>29</v>
      </c>
      <c r="I29">
        <v>8250</v>
      </c>
      <c r="K29" s="5">
        <v>4721370</v>
      </c>
      <c r="L29" s="6"/>
      <c r="M29" s="5">
        <f>K29</f>
        <v>4721370</v>
      </c>
      <c r="O29" s="8"/>
      <c r="P29" s="8"/>
      <c r="Q29">
        <v>3</v>
      </c>
      <c r="R29" s="8"/>
      <c r="S29" s="3">
        <f>M29/10000+4670+1950*2</f>
        <v>9042.1369999999988</v>
      </c>
    </row>
    <row r="30" spans="1:22" x14ac:dyDescent="0.25">
      <c r="A30">
        <v>12</v>
      </c>
      <c r="B30" t="s">
        <v>29</v>
      </c>
      <c r="I30">
        <v>10100</v>
      </c>
      <c r="J30">
        <v>10520</v>
      </c>
      <c r="K30">
        <v>4049396</v>
      </c>
      <c r="L30">
        <v>65169</v>
      </c>
      <c r="M30">
        <f>SUM(K29:K30)</f>
        <v>8770766</v>
      </c>
      <c r="N30">
        <v>60</v>
      </c>
      <c r="O30" s="8">
        <v>38958</v>
      </c>
      <c r="P30" s="9">
        <v>14</v>
      </c>
      <c r="Q30">
        <v>10</v>
      </c>
      <c r="R30" s="9">
        <v>10</v>
      </c>
      <c r="S30" s="3">
        <f>M30/10000+4670+1950*3</f>
        <v>11397.0766</v>
      </c>
      <c r="T30" s="10">
        <f>L29*0.05+4670+1950*3</f>
        <v>10520</v>
      </c>
      <c r="U30" s="10">
        <f>P30*10+4670+1950*3</f>
        <v>10660</v>
      </c>
      <c r="V30" s="10">
        <f t="shared" ref="V30:V31" si="13">(R30-Q30)*600+J30</f>
        <v>10520</v>
      </c>
    </row>
    <row r="31" spans="1:22" x14ac:dyDescent="0.25">
      <c r="A31">
        <v>13</v>
      </c>
      <c r="B31" t="s">
        <v>30</v>
      </c>
      <c r="I31">
        <v>4550</v>
      </c>
      <c r="J31">
        <v>4670</v>
      </c>
      <c r="K31" s="5">
        <v>911742</v>
      </c>
      <c r="L31" s="6">
        <v>3034</v>
      </c>
      <c r="M31" s="5">
        <f t="shared" ref="M31:M50" si="14">K31</f>
        <v>911742</v>
      </c>
      <c r="N31">
        <v>5</v>
      </c>
      <c r="O31" s="8">
        <v>36010</v>
      </c>
      <c r="P31" s="9">
        <v>22</v>
      </c>
      <c r="Q31">
        <v>5</v>
      </c>
      <c r="R31" s="9">
        <v>5</v>
      </c>
      <c r="S31" s="3">
        <f t="shared" ref="S31:S32" si="15">M31/10000+4670</f>
        <v>4761.1742000000004</v>
      </c>
      <c r="T31" s="10">
        <f>L31*0.05+4670</f>
        <v>4821.7</v>
      </c>
      <c r="U31" s="10">
        <f>N31*10+4670</f>
        <v>4720</v>
      </c>
      <c r="V31" s="10">
        <f t="shared" si="13"/>
        <v>4670</v>
      </c>
    </row>
    <row r="32" spans="1:22" hidden="1" x14ac:dyDescent="0.25">
      <c r="B32" t="s">
        <v>31</v>
      </c>
      <c r="I32">
        <v>4550</v>
      </c>
      <c r="K32" s="5">
        <v>895156.27</v>
      </c>
      <c r="L32" s="6"/>
      <c r="M32" s="5">
        <f t="shared" si="14"/>
        <v>895156.27</v>
      </c>
      <c r="Q32">
        <v>5</v>
      </c>
      <c r="S32" s="3">
        <f t="shared" si="15"/>
        <v>4759.5156269999998</v>
      </c>
    </row>
    <row r="33" spans="1:22" hidden="1" x14ac:dyDescent="0.25">
      <c r="B33" t="s">
        <v>32</v>
      </c>
      <c r="I33">
        <v>6400</v>
      </c>
      <c r="K33" s="5">
        <v>6945245</v>
      </c>
      <c r="L33" s="6"/>
      <c r="M33" s="5">
        <f t="shared" si="14"/>
        <v>6945245</v>
      </c>
      <c r="Q33">
        <v>3</v>
      </c>
      <c r="S33" s="3">
        <f>M33/10000+4670+1950</f>
        <v>7314.5244999999995</v>
      </c>
    </row>
    <row r="34" spans="1:22" x14ac:dyDescent="0.25">
      <c r="A34">
        <v>14</v>
      </c>
      <c r="B34" t="s">
        <v>33</v>
      </c>
      <c r="I34">
        <v>4550</v>
      </c>
      <c r="J34">
        <v>4670</v>
      </c>
      <c r="K34" s="5">
        <v>2414531</v>
      </c>
      <c r="L34" s="6">
        <v>1010</v>
      </c>
      <c r="M34" s="5">
        <f t="shared" si="14"/>
        <v>2414531</v>
      </c>
      <c r="N34" s="6">
        <v>18</v>
      </c>
      <c r="O34" s="8">
        <v>39616</v>
      </c>
      <c r="P34" s="9">
        <v>12</v>
      </c>
      <c r="Q34">
        <v>7</v>
      </c>
      <c r="R34" s="9">
        <v>7</v>
      </c>
      <c r="S34" s="3">
        <f t="shared" ref="S34" si="16">M34/10000+4670</f>
        <v>4911.4530999999997</v>
      </c>
      <c r="T34" s="10">
        <f>L34*0.05+4670</f>
        <v>4720.5</v>
      </c>
      <c r="U34" s="10">
        <f>N34*10+4670</f>
        <v>4850</v>
      </c>
      <c r="V34" s="10">
        <f>(R34-Q34)*600+J34</f>
        <v>4670</v>
      </c>
    </row>
    <row r="35" spans="1:22" hidden="1" x14ac:dyDescent="0.25">
      <c r="B35" t="s">
        <v>34</v>
      </c>
      <c r="I35">
        <v>6400</v>
      </c>
      <c r="K35" s="5">
        <v>143480</v>
      </c>
      <c r="L35" s="6"/>
      <c r="M35" s="5">
        <f t="shared" si="14"/>
        <v>143480</v>
      </c>
      <c r="S35" s="3">
        <f>M35/10000+4670+1950</f>
        <v>6634.348</v>
      </c>
    </row>
    <row r="36" spans="1:22" hidden="1" x14ac:dyDescent="0.25">
      <c r="B36" t="s">
        <v>35</v>
      </c>
      <c r="I36">
        <v>4550</v>
      </c>
      <c r="K36" s="5">
        <v>250000</v>
      </c>
      <c r="L36" s="6"/>
      <c r="M36" s="5">
        <f t="shared" si="14"/>
        <v>250000</v>
      </c>
      <c r="S36" s="3">
        <f t="shared" ref="S36:S38" si="17">M36/10000+4670</f>
        <v>4695</v>
      </c>
    </row>
    <row r="37" spans="1:22" x14ac:dyDescent="0.25">
      <c r="A37">
        <v>15</v>
      </c>
      <c r="B37" t="s">
        <v>36</v>
      </c>
      <c r="I37">
        <v>4550</v>
      </c>
      <c r="J37">
        <v>4670</v>
      </c>
      <c r="K37" s="5">
        <v>958100</v>
      </c>
      <c r="L37" s="6">
        <v>4707</v>
      </c>
      <c r="M37" s="5">
        <f t="shared" si="14"/>
        <v>958100</v>
      </c>
      <c r="N37" s="6">
        <v>9</v>
      </c>
      <c r="O37" s="8">
        <v>34044</v>
      </c>
      <c r="P37" s="9">
        <v>27</v>
      </c>
      <c r="Q37" s="9">
        <v>4</v>
      </c>
      <c r="R37" s="9">
        <v>13</v>
      </c>
      <c r="S37" s="3">
        <f t="shared" si="17"/>
        <v>4765.8100000000004</v>
      </c>
      <c r="T37" s="10">
        <f>L37*0.05+4670</f>
        <v>4905.3500000000004</v>
      </c>
      <c r="U37" s="10">
        <f t="shared" ref="U37:U39" si="18">N37*10+4670</f>
        <v>4760</v>
      </c>
      <c r="V37" s="10">
        <f t="shared" ref="V37:V39" si="19">(R37-Q37)*600+J37</f>
        <v>10070</v>
      </c>
    </row>
    <row r="38" spans="1:22" x14ac:dyDescent="0.25">
      <c r="A38">
        <v>16</v>
      </c>
      <c r="B38" t="s">
        <v>37</v>
      </c>
      <c r="I38">
        <v>4430</v>
      </c>
      <c r="J38">
        <v>4670</v>
      </c>
      <c r="K38" s="5">
        <v>3283714</v>
      </c>
      <c r="L38" s="6">
        <v>14066</v>
      </c>
      <c r="M38" s="5">
        <f t="shared" si="14"/>
        <v>3283714</v>
      </c>
      <c r="N38" s="6">
        <v>9</v>
      </c>
      <c r="O38" s="8">
        <v>42759</v>
      </c>
      <c r="P38" s="9">
        <v>3</v>
      </c>
      <c r="Q38" s="9">
        <v>6</v>
      </c>
      <c r="R38" s="9">
        <v>9</v>
      </c>
      <c r="S38" s="3">
        <f t="shared" si="17"/>
        <v>4998.3714</v>
      </c>
      <c r="T38" s="10">
        <f>L38*0.05+4670</f>
        <v>5373.3</v>
      </c>
      <c r="U38" s="10">
        <f t="shared" si="18"/>
        <v>4760</v>
      </c>
      <c r="V38" s="10">
        <f t="shared" si="19"/>
        <v>6470</v>
      </c>
    </row>
    <row r="39" spans="1:22" x14ac:dyDescent="0.25">
      <c r="A39">
        <v>17</v>
      </c>
      <c r="B39" t="s">
        <v>38</v>
      </c>
      <c r="I39">
        <v>4550</v>
      </c>
      <c r="J39">
        <v>4670</v>
      </c>
      <c r="K39" s="5">
        <v>4427913</v>
      </c>
      <c r="L39" s="6">
        <v>20903</v>
      </c>
      <c r="M39" s="5">
        <f t="shared" si="14"/>
        <v>4427913</v>
      </c>
      <c r="N39" s="6">
        <v>26</v>
      </c>
      <c r="O39" s="8">
        <v>33778</v>
      </c>
      <c r="P39" s="9">
        <v>28</v>
      </c>
      <c r="Q39" s="9">
        <v>11</v>
      </c>
      <c r="R39" s="9">
        <v>19</v>
      </c>
      <c r="S39" s="3">
        <f t="shared" ref="S39:S41" si="20">M39/10000+4670</f>
        <v>5112.7912999999999</v>
      </c>
      <c r="T39" s="10">
        <f>L39*0.05+4670</f>
        <v>5715.15</v>
      </c>
      <c r="U39" s="10">
        <f t="shared" si="18"/>
        <v>4930</v>
      </c>
      <c r="V39" s="10">
        <f t="shared" si="19"/>
        <v>9470</v>
      </c>
    </row>
    <row r="40" spans="1:22" hidden="1" x14ac:dyDescent="0.25">
      <c r="B40" t="s">
        <v>39</v>
      </c>
      <c r="I40">
        <v>4550</v>
      </c>
      <c r="K40" s="5">
        <v>815014</v>
      </c>
      <c r="L40" s="6"/>
      <c r="M40" s="5">
        <f t="shared" si="14"/>
        <v>815014</v>
      </c>
      <c r="N40">
        <v>3</v>
      </c>
      <c r="S40" s="3">
        <f t="shared" si="20"/>
        <v>4751.5014000000001</v>
      </c>
    </row>
    <row r="41" spans="1:22" hidden="1" x14ac:dyDescent="0.25">
      <c r="B41" t="s">
        <v>40</v>
      </c>
      <c r="I41">
        <v>4550</v>
      </c>
      <c r="K41" s="5">
        <v>3012645</v>
      </c>
      <c r="L41" s="6"/>
      <c r="M41" s="5">
        <f t="shared" si="14"/>
        <v>3012645</v>
      </c>
      <c r="N41">
        <v>5</v>
      </c>
      <c r="S41" s="3">
        <f t="shared" si="20"/>
        <v>4971.2645000000002</v>
      </c>
    </row>
    <row r="42" spans="1:22" x14ac:dyDescent="0.25">
      <c r="A42">
        <v>18</v>
      </c>
      <c r="B42" t="s">
        <v>41</v>
      </c>
      <c r="I42">
        <v>10090</v>
      </c>
      <c r="J42">
        <v>10610</v>
      </c>
      <c r="K42" s="5">
        <v>3886573</v>
      </c>
      <c r="L42" s="6">
        <v>12345</v>
      </c>
      <c r="M42" s="5">
        <f t="shared" si="14"/>
        <v>3886573</v>
      </c>
      <c r="N42" s="6">
        <v>25</v>
      </c>
      <c r="O42" s="8">
        <v>33030</v>
      </c>
      <c r="P42" s="9">
        <v>30</v>
      </c>
      <c r="Q42" s="9">
        <v>15</v>
      </c>
      <c r="R42" s="9">
        <v>15</v>
      </c>
      <c r="S42" s="3">
        <f>M42/10000+4670*2+1020</f>
        <v>10748.657300000001</v>
      </c>
      <c r="T42" s="10">
        <f>L41*0.05+4670+1950*2+1020</f>
        <v>9590</v>
      </c>
      <c r="U42" s="10">
        <f>N39*10+4670+1950*2+1020</f>
        <v>9850</v>
      </c>
      <c r="V42" s="10">
        <f t="shared" ref="V42:V44" si="21">(R42-Q42)*600+J42</f>
        <v>10610</v>
      </c>
    </row>
    <row r="43" spans="1:22" x14ac:dyDescent="0.25">
      <c r="A43">
        <v>19</v>
      </c>
      <c r="B43" t="s">
        <v>42</v>
      </c>
      <c r="I43">
        <v>4550</v>
      </c>
      <c r="J43">
        <v>4670</v>
      </c>
      <c r="K43" s="5">
        <v>1350000</v>
      </c>
      <c r="L43" s="6">
        <v>4246</v>
      </c>
      <c r="M43" s="5">
        <f t="shared" si="14"/>
        <v>1350000</v>
      </c>
      <c r="N43" s="6">
        <v>8</v>
      </c>
      <c r="O43" s="8">
        <v>38182</v>
      </c>
      <c r="P43" s="9">
        <v>16</v>
      </c>
      <c r="Q43" s="9">
        <v>3</v>
      </c>
      <c r="R43" s="9">
        <v>3</v>
      </c>
      <c r="S43" s="3">
        <f>M43/10000+4670</f>
        <v>4805</v>
      </c>
      <c r="T43" s="10">
        <f t="shared" ref="T43:T44" si="22">L43*0.05+4670</f>
        <v>4882.3</v>
      </c>
      <c r="U43" s="10">
        <f>N43*10+4670</f>
        <v>4750</v>
      </c>
      <c r="V43" s="10">
        <f t="shared" si="21"/>
        <v>4670</v>
      </c>
    </row>
    <row r="44" spans="1:22" x14ac:dyDescent="0.25">
      <c r="A44">
        <v>20</v>
      </c>
      <c r="B44" t="s">
        <v>43</v>
      </c>
      <c r="I44">
        <v>4550</v>
      </c>
      <c r="J44">
        <v>4670</v>
      </c>
      <c r="K44" s="5">
        <v>1138000</v>
      </c>
      <c r="L44" s="6">
        <v>11860</v>
      </c>
      <c r="M44" s="5">
        <f t="shared" si="14"/>
        <v>1138000</v>
      </c>
      <c r="N44" s="6">
        <v>10</v>
      </c>
      <c r="O44" s="8">
        <v>35229</v>
      </c>
      <c r="P44" s="9">
        <v>24</v>
      </c>
      <c r="Q44" s="9">
        <v>11</v>
      </c>
      <c r="R44" s="9">
        <v>61</v>
      </c>
      <c r="S44" s="3">
        <f t="shared" ref="S44" si="23">M44/10000+4670</f>
        <v>4783.8</v>
      </c>
      <c r="T44" s="10">
        <f t="shared" si="22"/>
        <v>5263</v>
      </c>
      <c r="U44" s="10">
        <f>N44*10+4670</f>
        <v>4770</v>
      </c>
      <c r="V44" s="12">
        <f t="shared" si="21"/>
        <v>34670</v>
      </c>
    </row>
    <row r="45" spans="1:22" hidden="1" x14ac:dyDescent="0.25">
      <c r="B45" t="s">
        <v>44</v>
      </c>
      <c r="I45">
        <v>6400</v>
      </c>
      <c r="K45" s="5">
        <v>3300000</v>
      </c>
      <c r="L45" s="6"/>
      <c r="M45" s="5">
        <f t="shared" si="14"/>
        <v>3300000</v>
      </c>
      <c r="S45" s="3">
        <f>M45/10000+4670+1950</f>
        <v>6950</v>
      </c>
    </row>
    <row r="46" spans="1:22" x14ac:dyDescent="0.25">
      <c r="A46">
        <v>21</v>
      </c>
      <c r="B46" t="s">
        <v>45</v>
      </c>
      <c r="I46">
        <v>4550</v>
      </c>
      <c r="J46">
        <v>4670</v>
      </c>
      <c r="K46" s="5">
        <v>3139358</v>
      </c>
      <c r="L46" s="6">
        <v>16522</v>
      </c>
      <c r="M46" s="5">
        <f t="shared" si="14"/>
        <v>3139358</v>
      </c>
      <c r="N46" s="6">
        <v>19</v>
      </c>
      <c r="O46" s="8">
        <v>42759</v>
      </c>
      <c r="P46" s="9">
        <v>3</v>
      </c>
      <c r="Q46" s="9">
        <v>7</v>
      </c>
      <c r="R46" s="9">
        <v>16</v>
      </c>
      <c r="S46" s="3">
        <f t="shared" ref="S46:S47" si="24">M46/10000+4670</f>
        <v>4983.9358000000002</v>
      </c>
      <c r="T46" s="10">
        <f t="shared" ref="T46:T47" si="25">L46*0.05+4670</f>
        <v>5496.1</v>
      </c>
      <c r="U46" s="10">
        <f>N46*10+4670</f>
        <v>4860</v>
      </c>
      <c r="V46" s="10">
        <f t="shared" ref="V46:V50" si="26">(R46-Q46)*600+J46</f>
        <v>10070</v>
      </c>
    </row>
    <row r="47" spans="1:22" x14ac:dyDescent="0.25">
      <c r="A47">
        <v>22</v>
      </c>
      <c r="B47" t="s">
        <v>46</v>
      </c>
      <c r="I47">
        <v>4550</v>
      </c>
      <c r="J47">
        <v>4670</v>
      </c>
      <c r="K47" s="5">
        <v>215553</v>
      </c>
      <c r="L47" s="6">
        <v>820</v>
      </c>
      <c r="M47" s="5">
        <f t="shared" si="14"/>
        <v>215553</v>
      </c>
      <c r="N47" s="6">
        <v>3</v>
      </c>
      <c r="O47" s="8">
        <v>42153</v>
      </c>
      <c r="P47" s="9">
        <v>5</v>
      </c>
      <c r="Q47" s="9">
        <v>1</v>
      </c>
      <c r="R47" s="9">
        <v>1</v>
      </c>
      <c r="S47" s="3">
        <f t="shared" si="24"/>
        <v>4691.5553</v>
      </c>
      <c r="T47" s="10">
        <f t="shared" si="25"/>
        <v>4711</v>
      </c>
      <c r="U47" s="10">
        <f>N47*10+4670</f>
        <v>4700</v>
      </c>
      <c r="V47" s="10">
        <f t="shared" si="26"/>
        <v>4670</v>
      </c>
    </row>
    <row r="48" spans="1:22" x14ac:dyDescent="0.25">
      <c r="A48">
        <v>23</v>
      </c>
      <c r="B48" t="s">
        <v>47</v>
      </c>
      <c r="I48">
        <v>5540</v>
      </c>
      <c r="J48">
        <v>5690</v>
      </c>
      <c r="K48" s="5">
        <v>4460000</v>
      </c>
      <c r="L48" s="6">
        <v>6571</v>
      </c>
      <c r="M48" s="5">
        <f t="shared" si="14"/>
        <v>4460000</v>
      </c>
      <c r="N48">
        <v>21</v>
      </c>
      <c r="O48" s="8">
        <v>33588</v>
      </c>
      <c r="P48" s="9">
        <v>29</v>
      </c>
      <c r="Q48" s="9">
        <v>5</v>
      </c>
      <c r="R48" s="9">
        <v>444</v>
      </c>
      <c r="S48" s="3">
        <f>M48/10000+4670+1020</f>
        <v>6136</v>
      </c>
      <c r="T48" s="10">
        <f>L48*0.05+4670+1020</f>
        <v>6018.55</v>
      </c>
      <c r="U48" s="10">
        <f>P48*10+4670+1020</f>
        <v>5980</v>
      </c>
      <c r="V48" s="11">
        <f t="shared" si="26"/>
        <v>269090</v>
      </c>
    </row>
    <row r="49" spans="1:22" x14ac:dyDescent="0.25">
      <c r="A49">
        <v>24</v>
      </c>
      <c r="B49" t="s">
        <v>48</v>
      </c>
      <c r="I49">
        <v>4550</v>
      </c>
      <c r="J49">
        <v>4670</v>
      </c>
      <c r="K49" s="5">
        <v>9534910</v>
      </c>
      <c r="L49" s="6">
        <v>30000</v>
      </c>
      <c r="M49" s="5">
        <f t="shared" si="14"/>
        <v>9534910</v>
      </c>
      <c r="N49">
        <v>104</v>
      </c>
      <c r="O49" s="8">
        <v>34325</v>
      </c>
      <c r="P49" s="9">
        <v>27</v>
      </c>
      <c r="Q49" s="9">
        <v>10</v>
      </c>
      <c r="R49" s="9">
        <v>450</v>
      </c>
      <c r="S49" s="3">
        <f t="shared" ref="S49:S50" si="27">M49/10000+4670</f>
        <v>5623.491</v>
      </c>
      <c r="T49" s="10">
        <f t="shared" ref="T49:T50" si="28">L49*0.05+4670</f>
        <v>6170</v>
      </c>
      <c r="U49" s="10">
        <f>N49*10+4670</f>
        <v>5710</v>
      </c>
      <c r="V49" s="11">
        <f t="shared" si="26"/>
        <v>268670</v>
      </c>
    </row>
    <row r="50" spans="1:22" x14ac:dyDescent="0.25">
      <c r="A50">
        <v>25</v>
      </c>
      <c r="B50" t="s">
        <v>49</v>
      </c>
      <c r="I50">
        <v>4550</v>
      </c>
      <c r="J50">
        <v>4670</v>
      </c>
      <c r="K50" s="5">
        <v>937000</v>
      </c>
      <c r="L50" s="6">
        <v>3905</v>
      </c>
      <c r="M50" s="5">
        <f t="shared" si="14"/>
        <v>937000</v>
      </c>
      <c r="N50" s="6">
        <v>12</v>
      </c>
      <c r="O50" s="8">
        <v>34023</v>
      </c>
      <c r="P50" s="9">
        <v>27</v>
      </c>
      <c r="Q50" s="9">
        <v>1</v>
      </c>
      <c r="R50" s="9">
        <v>147</v>
      </c>
      <c r="S50" s="3">
        <f t="shared" si="27"/>
        <v>4763.7</v>
      </c>
      <c r="T50" s="10">
        <f t="shared" si="28"/>
        <v>4865.25</v>
      </c>
      <c r="U50" s="10">
        <f>N50*10+4670</f>
        <v>4790</v>
      </c>
      <c r="V50" s="11">
        <f t="shared" si="26"/>
        <v>92270</v>
      </c>
    </row>
    <row r="51" spans="1:22" hidden="1" x14ac:dyDescent="0.25">
      <c r="B51" t="s">
        <v>50</v>
      </c>
      <c r="I51" t="s">
        <v>63</v>
      </c>
      <c r="K51" s="5">
        <v>5324686</v>
      </c>
      <c r="L51" s="6"/>
      <c r="M51" s="5" t="s">
        <v>63</v>
      </c>
      <c r="S51" s="3" t="s">
        <v>63</v>
      </c>
    </row>
    <row r="52" spans="1:22" x14ac:dyDescent="0.25">
      <c r="A52">
        <v>26</v>
      </c>
      <c r="B52" t="s">
        <v>51</v>
      </c>
      <c r="I52">
        <v>6400</v>
      </c>
      <c r="J52">
        <v>6620</v>
      </c>
      <c r="K52">
        <v>78795</v>
      </c>
      <c r="L52">
        <v>13830</v>
      </c>
      <c r="M52">
        <f>SUM(K51:K52)</f>
        <v>5403481</v>
      </c>
      <c r="N52">
        <v>53</v>
      </c>
      <c r="O52" s="8">
        <v>33924</v>
      </c>
      <c r="P52" s="9">
        <v>28</v>
      </c>
      <c r="Q52" s="9">
        <v>3</v>
      </c>
      <c r="R52" s="9">
        <v>424</v>
      </c>
      <c r="S52" s="3">
        <f>M52/10000+4670+1950</f>
        <v>7160.3481000000002</v>
      </c>
      <c r="T52" s="10">
        <f>L52*0.05+4670+1950</f>
        <v>7311.5</v>
      </c>
      <c r="U52" s="10">
        <f>N52*10+4670+1950</f>
        <v>7150</v>
      </c>
      <c r="V52" s="11">
        <f>(R52-Q52)*600+J52</f>
        <v>259220</v>
      </c>
    </row>
    <row r="53" spans="1:22" hidden="1" x14ac:dyDescent="0.25">
      <c r="B53" t="s">
        <v>52</v>
      </c>
      <c r="I53">
        <v>5540</v>
      </c>
      <c r="K53" s="5">
        <v>24000000</v>
      </c>
      <c r="L53" s="6"/>
      <c r="M53" s="5">
        <f t="shared" ref="M53:M61" si="29">K53</f>
        <v>24000000</v>
      </c>
      <c r="O53" s="8"/>
      <c r="P53" s="8"/>
      <c r="Q53" s="8"/>
      <c r="R53" s="8"/>
      <c r="S53" s="3">
        <f t="shared" ref="S53:S61" si="30">M53/10000+4670</f>
        <v>7070</v>
      </c>
    </row>
    <row r="54" spans="1:22" hidden="1" x14ac:dyDescent="0.25">
      <c r="B54" t="s">
        <v>53</v>
      </c>
      <c r="I54">
        <v>4550</v>
      </c>
      <c r="K54" s="5">
        <v>24768329.34</v>
      </c>
      <c r="L54" s="6"/>
      <c r="M54" s="5">
        <f t="shared" si="29"/>
        <v>24768329.34</v>
      </c>
      <c r="S54" s="3">
        <f t="shared" si="30"/>
        <v>7146.832934</v>
      </c>
    </row>
    <row r="55" spans="1:22" x14ac:dyDescent="0.25">
      <c r="A55">
        <v>27</v>
      </c>
      <c r="B55" t="s">
        <v>54</v>
      </c>
      <c r="I55">
        <v>4550</v>
      </c>
      <c r="J55">
        <v>4670</v>
      </c>
      <c r="K55" s="5">
        <v>8423412</v>
      </c>
      <c r="L55" s="6">
        <v>16777</v>
      </c>
      <c r="M55" s="5">
        <f t="shared" si="29"/>
        <v>8423412</v>
      </c>
      <c r="N55" s="6">
        <v>43</v>
      </c>
      <c r="O55" s="8">
        <v>33354</v>
      </c>
      <c r="P55" s="9">
        <v>29</v>
      </c>
      <c r="Q55" s="9">
        <v>8</v>
      </c>
      <c r="R55" s="9">
        <v>15</v>
      </c>
      <c r="S55" s="3">
        <f t="shared" si="30"/>
        <v>5512.3411999999998</v>
      </c>
      <c r="T55" s="10">
        <f t="shared" ref="T55:T59" si="31">L55*0.05+4670</f>
        <v>5508.85</v>
      </c>
      <c r="U55" s="10">
        <f t="shared" ref="U55:U56" si="32">N55*10+4670</f>
        <v>5100</v>
      </c>
      <c r="V55" s="11">
        <f t="shared" ref="V55:V59" si="33">(R55-Q55)*600+J55</f>
        <v>8870</v>
      </c>
    </row>
    <row r="56" spans="1:22" x14ac:dyDescent="0.25">
      <c r="A56">
        <v>28</v>
      </c>
      <c r="B56" t="s">
        <v>55</v>
      </c>
      <c r="I56">
        <v>4550</v>
      </c>
      <c r="J56">
        <v>4670</v>
      </c>
      <c r="K56" s="5">
        <v>3100000</v>
      </c>
      <c r="L56" s="6">
        <v>7520</v>
      </c>
      <c r="M56" s="5">
        <f t="shared" si="29"/>
        <v>3100000</v>
      </c>
      <c r="N56" s="6">
        <v>4</v>
      </c>
      <c r="O56" s="8">
        <v>37169</v>
      </c>
      <c r="P56" s="9">
        <v>19</v>
      </c>
      <c r="Q56" s="9">
        <v>5</v>
      </c>
      <c r="R56" s="9">
        <v>5</v>
      </c>
      <c r="S56" s="3">
        <f t="shared" si="30"/>
        <v>4980</v>
      </c>
      <c r="T56" s="10">
        <f t="shared" si="31"/>
        <v>5046</v>
      </c>
      <c r="U56" s="10">
        <f t="shared" si="32"/>
        <v>4710</v>
      </c>
      <c r="V56" s="11">
        <f t="shared" si="33"/>
        <v>4670</v>
      </c>
    </row>
    <row r="57" spans="1:22" x14ac:dyDescent="0.25">
      <c r="A57">
        <v>29</v>
      </c>
      <c r="B57" t="s">
        <v>56</v>
      </c>
      <c r="I57">
        <v>4550</v>
      </c>
      <c r="J57">
        <v>4670</v>
      </c>
      <c r="K57" s="5">
        <v>2200000</v>
      </c>
      <c r="L57" s="6">
        <v>2647</v>
      </c>
      <c r="M57" s="5">
        <f t="shared" si="29"/>
        <v>2200000</v>
      </c>
      <c r="N57" s="6">
        <v>10</v>
      </c>
      <c r="O57" s="8">
        <v>38770</v>
      </c>
      <c r="P57" s="9">
        <v>14</v>
      </c>
      <c r="Q57" s="9">
        <v>5</v>
      </c>
      <c r="R57" s="9">
        <v>6</v>
      </c>
      <c r="S57" s="3">
        <f t="shared" si="30"/>
        <v>4890</v>
      </c>
      <c r="T57" s="10">
        <f t="shared" si="31"/>
        <v>4802.3500000000004</v>
      </c>
      <c r="U57" s="10">
        <f>N57*10+4670</f>
        <v>4770</v>
      </c>
      <c r="V57" s="10">
        <f t="shared" si="33"/>
        <v>5270</v>
      </c>
    </row>
    <row r="58" spans="1:22" x14ac:dyDescent="0.25">
      <c r="A58">
        <v>30</v>
      </c>
      <c r="B58" t="s">
        <v>57</v>
      </c>
      <c r="I58">
        <v>4550</v>
      </c>
      <c r="J58">
        <v>4670</v>
      </c>
      <c r="K58" s="5">
        <v>4300000</v>
      </c>
      <c r="L58" s="6">
        <v>24040</v>
      </c>
      <c r="M58" s="5">
        <f t="shared" si="29"/>
        <v>4300000</v>
      </c>
      <c r="N58" s="6">
        <v>17</v>
      </c>
      <c r="O58" s="8">
        <v>33462</v>
      </c>
      <c r="P58" s="9">
        <v>29</v>
      </c>
      <c r="Q58" s="9">
        <v>3</v>
      </c>
      <c r="R58" s="9">
        <v>6</v>
      </c>
      <c r="S58" s="3">
        <f t="shared" si="30"/>
        <v>5100</v>
      </c>
      <c r="T58" s="10">
        <f t="shared" si="31"/>
        <v>5872</v>
      </c>
      <c r="U58" s="10">
        <f>N58*10+4670</f>
        <v>4840</v>
      </c>
      <c r="V58" s="10">
        <f t="shared" si="33"/>
        <v>6470</v>
      </c>
    </row>
    <row r="59" spans="1:22" x14ac:dyDescent="0.25">
      <c r="A59">
        <v>31</v>
      </c>
      <c r="B59" t="s">
        <v>58</v>
      </c>
      <c r="I59">
        <v>4550</v>
      </c>
      <c r="J59">
        <v>4670</v>
      </c>
      <c r="K59" s="5">
        <v>57830</v>
      </c>
      <c r="L59" s="6">
        <v>263</v>
      </c>
      <c r="M59" s="5">
        <f t="shared" si="29"/>
        <v>57830</v>
      </c>
      <c r="N59" s="6">
        <v>4</v>
      </c>
      <c r="O59" s="8">
        <v>39490</v>
      </c>
      <c r="P59" s="9">
        <v>12</v>
      </c>
      <c r="Q59" s="9">
        <v>7</v>
      </c>
      <c r="R59" s="9">
        <v>12</v>
      </c>
      <c r="S59" s="3">
        <f t="shared" si="30"/>
        <v>4675.7830000000004</v>
      </c>
      <c r="T59" s="10">
        <f t="shared" si="31"/>
        <v>4683.1499999999996</v>
      </c>
      <c r="U59" s="10">
        <f>N59*10+4670</f>
        <v>4710</v>
      </c>
      <c r="V59" s="10">
        <f t="shared" si="33"/>
        <v>7670</v>
      </c>
    </row>
    <row r="60" spans="1:22" hidden="1" x14ac:dyDescent="0.25">
      <c r="B60" t="s">
        <v>59</v>
      </c>
      <c r="I60">
        <v>4550</v>
      </c>
      <c r="K60" s="5">
        <v>485000</v>
      </c>
      <c r="L60" s="6"/>
      <c r="M60" s="5">
        <f t="shared" si="29"/>
        <v>485000</v>
      </c>
      <c r="S60" s="3">
        <f t="shared" si="30"/>
        <v>4718.5</v>
      </c>
    </row>
    <row r="61" spans="1:22" hidden="1" x14ac:dyDescent="0.25">
      <c r="B61" t="s">
        <v>60</v>
      </c>
      <c r="I61">
        <v>4550</v>
      </c>
      <c r="K61" s="5">
        <v>122113</v>
      </c>
      <c r="L61" s="6"/>
      <c r="M61" s="5">
        <f t="shared" si="29"/>
        <v>122113</v>
      </c>
      <c r="S61" s="3">
        <f t="shared" si="30"/>
        <v>4682.2112999999999</v>
      </c>
    </row>
    <row r="62" spans="1:22" hidden="1" x14ac:dyDescent="0.25">
      <c r="S62" s="3"/>
    </row>
    <row r="63" spans="1:22" hidden="1" x14ac:dyDescent="0.25">
      <c r="B63" s="1" t="s">
        <v>65</v>
      </c>
      <c r="C63" s="1"/>
      <c r="D63" s="1"/>
      <c r="E63" s="1"/>
      <c r="F63" s="1"/>
      <c r="G63" s="1"/>
      <c r="H63" s="1"/>
      <c r="I63">
        <f>SUM(I2:I61)</f>
        <v>273740</v>
      </c>
      <c r="M63" s="3">
        <f>SUM(M2:M61)</f>
        <v>206307962.23999998</v>
      </c>
      <c r="S63" s="3">
        <f>SUM(S2:S61)</f>
        <v>298340.79622400011</v>
      </c>
    </row>
    <row r="64" spans="1:22" x14ac:dyDescent="0.25">
      <c r="S64" s="3"/>
      <c r="T64" s="10"/>
      <c r="U64" s="10"/>
      <c r="V64" s="10"/>
    </row>
    <row r="65" spans="2:22" x14ac:dyDescent="0.25">
      <c r="B65" t="s">
        <v>69</v>
      </c>
      <c r="I65">
        <f>SUBTOTAL(9,I5:I59)</f>
        <v>164250</v>
      </c>
      <c r="J65">
        <f>SUBTOTAL(9,J5:J59)</f>
        <v>168510</v>
      </c>
      <c r="S65" s="3">
        <f>SUBTOTAL(9,S5:S59)</f>
        <v>178989.72500000001</v>
      </c>
      <c r="T65" s="10">
        <f>SUBTOTAL(9,T5:T59)</f>
        <v>182020.25</v>
      </c>
      <c r="U65" s="10">
        <f>SUBTOTAL(9,U5:U59)</f>
        <v>173770</v>
      </c>
      <c r="V65" s="10">
        <f>SUBTOTAL(9,V5:V47,V55:V59)</f>
        <v>254860</v>
      </c>
    </row>
    <row r="66" spans="2:22" x14ac:dyDescent="0.25">
      <c r="J66" s="7">
        <f>J65/I65</f>
        <v>1.0259360730593607</v>
      </c>
      <c r="S66" s="7">
        <f>S65/I65</f>
        <v>1.0897395738203959</v>
      </c>
      <c r="T66" s="7">
        <f>T65/I65</f>
        <v>1.1081902587519026</v>
      </c>
      <c r="U66" s="7">
        <f>U65/I65</f>
        <v>1.0579604261796043</v>
      </c>
      <c r="V66" s="7">
        <f>V65/I65</f>
        <v>1.5516590563165906</v>
      </c>
    </row>
  </sheetData>
  <autoFilter ref="B1:T63" xr:uid="{0E3B8CD8-CDFD-45CC-8786-F46446A7BB40}">
    <filterColumn colId="10">
      <customFilters>
        <customFilter operator="notEqual" val=" "/>
      </customFilters>
    </filterColumn>
  </autoFilter>
  <pageMargins left="0.7" right="0.7" top="0.75" bottom="0.75" header="0.3" footer="0.3"/>
  <pageSetup paperSize="8" scale="4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b.colthorpe</dc:creator>
  <cp:lastModifiedBy>Patrick Pheasant</cp:lastModifiedBy>
  <cp:lastPrinted>2020-01-14T05:24:58Z</cp:lastPrinted>
  <dcterms:created xsi:type="dcterms:W3CDTF">2020-01-10T04:44:49Z</dcterms:created>
  <dcterms:modified xsi:type="dcterms:W3CDTF">2020-01-17T02:11:31Z</dcterms:modified>
</cp:coreProperties>
</file>